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<sst xmlns="http://schemas.openxmlformats.org/spreadsheetml/2006/main" count="125" uniqueCount="121">
  <si>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</si>
  <si>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</si>
  <si>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</si>
  <si>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</si>
  <si>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</si>
  <si>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</si>
  <si>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</si>
  <si>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</si>
  <si>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</si>
  <si>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</si>
  <si>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</si>
  <si>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</si>
  <si>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</si>
  <si>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</si>
  <si>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</si>
  <si>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</si>
  <si>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</si>
  <si>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</si>
  <si>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</si>
  <si>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</si>
  <si>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</si>
  <si>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</si>
  <si>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</si>
  <si>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</si>
  <si>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</si>
  <si>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</si>
  <si>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</si>
  <si>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</si>
  <si>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</si>
  <si>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</si>
  <si>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</si>
  <si>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</si>
  <si>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</si>
  <si>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</si>
  <si>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</si>
  <si>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</si>
  <si>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</si>
  <si>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</si>
  <si>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</si>
  <si>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</si>
  <si>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</si>
  <si>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</si>
  <si>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</si>
  <si>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</si>
  <si>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</si>
  <si>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</si>
  <si>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</si>
  <si>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</si>
  <si>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</si>
  <si>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</si>
  <si>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</si>
  <si>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</si>
  <si>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</si>
  <si>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</si>
  <si>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</si>
  <si>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</si>
  <si>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</si>
  <si>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</si>
  <si>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</si>
  <si>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</si>
  <si>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</si>
  <si>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</si>
  <si>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</si>
  <si>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</si>
  <si>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</si>
  <si>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</si>
  <si>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</si>
  <si>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</si>
  <si>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</si>
  <si>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</si>
  <si>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</si>
  <si>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</si>
  <si>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</si>
  <si>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</si>
  <si>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</si>
  <si>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</si>
  <si>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</si>
  <si>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</si>
  <si>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</si>
  <si>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</si>
  <si>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</si>
  <si>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</si>
  <si>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</si>
  <si>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</si>
  <si>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</si>
  <si>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</si>
  <si>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</si>
  <si>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</si>
  <si>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</si>
  <si>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</si>
  <si>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</si>
  <si>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</si>
  <si>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</si>
  <si>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</si>
  <si>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</si>
  <si>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</si>
  <si>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</si>
  <si>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</si>
  <si>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</si>
  <si>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</si>
  <si>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</si>
  <si>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</si>
  <si>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</si>
  <si>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</si>
  <si>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</si>
  <si>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</si>
  <si>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</si>
  <si>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</si>
  <si>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</si>
  <si>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</si>
  <si>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</si>
  <si>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</si>
  <si>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</si>
  <si>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</si>
  <si>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</si>
  <si>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</si>
  <si>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</si>
  <si>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</si>
  <si>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Відсоток виконання до плану 8 місяців</t>
  </si>
  <si>
    <t>Залишок призначень до плану 8 місяців</t>
  </si>
  <si>
    <t>Профінансовано станом на 23.08.16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</si>
</sst>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7" xfId="82" applyFont="1" applyBorder="1" applyAlignment="1">
      <alignment horizontal="center" wrapText="1"/>
      <protection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" sqref="J1:AA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27" width="0" style="7" hidden="1" customWidth="1"/>
    <col min="28" max="16384" width="9.33203125" style="7" customWidth="1"/>
  </cols>
  <sheetData>
    <row r="1" spans="1:8" ht="21" customHeight="1">
      <c r="A1" s="93" t="s">
        <v>10</v>
      </c>
      <c r="B1" s="93"/>
      <c r="C1" s="93"/>
      <c r="D1" s="93"/>
      <c r="E1" s="93"/>
      <c r="F1" s="93"/>
      <c r="G1" s="93"/>
      <c r="H1" s="93"/>
    </row>
    <row r="2" spans="1:8" ht="20.25" customHeight="1">
      <c r="A2" s="94" t="s">
        <v>11</v>
      </c>
      <c r="B2" s="94"/>
      <c r="C2" s="94"/>
      <c r="D2" s="94"/>
      <c r="E2" s="94"/>
      <c r="F2" s="94"/>
      <c r="G2" s="94"/>
      <c r="H2" s="94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6" t="s">
        <v>7</v>
      </c>
      <c r="B4" s="12"/>
      <c r="C4" s="96" t="s">
        <v>13</v>
      </c>
      <c r="D4" s="95" t="s">
        <v>14</v>
      </c>
      <c r="E4" s="95" t="s">
        <v>0</v>
      </c>
      <c r="F4" s="95" t="s">
        <v>1</v>
      </c>
      <c r="G4" s="14" t="s">
        <v>2</v>
      </c>
      <c r="H4" s="95" t="s">
        <v>120</v>
      </c>
      <c r="I4" s="82" t="s">
        <v>41</v>
      </c>
      <c r="J4" s="82" t="s">
        <v>118</v>
      </c>
      <c r="K4" s="87" t="s">
        <v>119</v>
      </c>
      <c r="L4" s="82" t="s">
        <v>42</v>
      </c>
      <c r="M4" s="82" t="s">
        <v>43</v>
      </c>
      <c r="N4" s="82" t="s">
        <v>44</v>
      </c>
      <c r="O4" s="82" t="s">
        <v>45</v>
      </c>
      <c r="P4" s="82" t="s">
        <v>46</v>
      </c>
      <c r="Q4" s="82" t="s">
        <v>47</v>
      </c>
      <c r="R4" s="82" t="s">
        <v>48</v>
      </c>
      <c r="S4" s="82" t="s">
        <v>49</v>
      </c>
      <c r="T4" s="82" t="s">
        <v>50</v>
      </c>
      <c r="U4" s="82" t="s">
        <v>51</v>
      </c>
      <c r="V4" s="82" t="s">
        <v>52</v>
      </c>
      <c r="W4" s="82" t="s">
        <v>53</v>
      </c>
      <c r="X4" s="82" t="s">
        <v>54</v>
      </c>
    </row>
    <row r="5" spans="1:24" ht="55.5" customHeight="1">
      <c r="A5" s="96"/>
      <c r="B5" s="15" t="s">
        <v>8</v>
      </c>
      <c r="C5" s="96"/>
      <c r="D5" s="95"/>
      <c r="E5" s="95"/>
      <c r="F5" s="95"/>
      <c r="G5" s="13" t="s">
        <v>6</v>
      </c>
      <c r="H5" s="95"/>
      <c r="I5" s="83"/>
      <c r="J5" s="89"/>
      <c r="K5" s="88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3"/>
      <c r="K6" s="49"/>
    </row>
    <row r="7" spans="1:25" s="16" customFormat="1" ht="19.5" customHeight="1">
      <c r="A7" s="84" t="s">
        <v>15</v>
      </c>
      <c r="B7" s="85"/>
      <c r="C7" s="85"/>
      <c r="D7" s="85"/>
      <c r="E7" s="85"/>
      <c r="F7" s="85"/>
      <c r="G7" s="85"/>
      <c r="H7" s="85"/>
      <c r="I7" s="86"/>
      <c r="J7" s="68"/>
      <c r="K7" s="50"/>
      <c r="Y7" s="71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86384975.78</v>
      </c>
      <c r="I8" s="67">
        <f>H8/D8*100</f>
        <v>58.789019334006056</v>
      </c>
      <c r="J8" s="72">
        <f>H8/(L8+M8+N8+O8+P8+Q8+R8+N25+O25+P25+Q25+R25+S8+S25)*100</f>
        <v>78.55414699654914</v>
      </c>
      <c r="K8" s="64">
        <f>K9+K17</f>
        <v>4127823.889999998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1"/>
    </row>
    <row r="9" spans="1:25" ht="18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24837855.26</v>
      </c>
      <c r="I9" s="23">
        <f>H9/D9*100</f>
        <v>62.49025787983711</v>
      </c>
      <c r="J9" s="72">
        <f>H9/(L9+M9+N9+O9+P9+Q9+R9+S9+M17+N17+O17+P17+Q17+R17+S17)*100</f>
        <v>85.74925908478139</v>
      </c>
      <c r="K9" s="23">
        <f>L9+M9+N9+O9+P9+Q9+R9+S9-H10-H11-H12-H13-H14-H15-H16</f>
        <v>422417.1999999983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1"/>
    </row>
    <row r="10" spans="1:25" ht="18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</f>
        <v>12918718.690000001</v>
      </c>
      <c r="I10" s="46">
        <f>H10/D10*100</f>
        <v>94.3041002262939</v>
      </c>
      <c r="J10" s="90">
        <f>(H10+H11+H12+H13+H14)/(L9+M9+N9+O9+P9+Q9+R9)*100</f>
        <v>100.11581062723273</v>
      </c>
      <c r="K10" s="51">
        <f aca="true" t="shared" si="2" ref="K10:K15">E10-H10</f>
        <v>780281.3099999987</v>
      </c>
      <c r="Y10" s="71"/>
    </row>
    <row r="11" spans="1:25" ht="18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1"/>
      <c r="K11" s="51">
        <f t="shared" si="2"/>
        <v>9626.879999999597</v>
      </c>
      <c r="Y11" s="71"/>
    </row>
    <row r="12" spans="1:25" s="4" customFormat="1" ht="18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</f>
        <v>2868840.16</v>
      </c>
      <c r="I12" s="46">
        <f aca="true" t="shared" si="3" ref="I12:I24">H12/D12*100</f>
        <v>79.90212728024592</v>
      </c>
      <c r="J12" s="91"/>
      <c r="K12" s="51">
        <f t="shared" si="2"/>
        <v>721602.6200000001</v>
      </c>
      <c r="Y12" s="71"/>
    </row>
    <row r="13" spans="1:25" ht="18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</f>
        <v>1121156</v>
      </c>
      <c r="I13" s="46">
        <f t="shared" si="3"/>
        <v>40.04128571428571</v>
      </c>
      <c r="J13" s="91"/>
      <c r="K13" s="51">
        <f t="shared" si="2"/>
        <v>1678844</v>
      </c>
      <c r="Y13" s="71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2"/>
      <c r="K14" s="51">
        <f>E14-H14</f>
        <v>25500</v>
      </c>
      <c r="Y14" s="71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74"/>
      <c r="K15" s="51">
        <f t="shared" si="2"/>
        <v>307.28000000002794</v>
      </c>
      <c r="T15" s="75">
        <v>378405.78</v>
      </c>
      <c r="Y15" s="71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74"/>
      <c r="K16" s="51">
        <f>E16-H16</f>
        <v>6511739.26</v>
      </c>
      <c r="V16" s="75">
        <v>2000000</v>
      </c>
      <c r="W16" s="75">
        <v>4511739.26</v>
      </c>
      <c r="Y16" s="71"/>
    </row>
    <row r="17" spans="1:25" ht="36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7024692.710000001</v>
      </c>
      <c r="I17" s="46">
        <f t="shared" si="3"/>
        <v>57.55255913220873</v>
      </c>
      <c r="J17" s="90">
        <f>H17/(L17+M17+N17+O17+P17+Q17+R17)*100</f>
        <v>81.19941803420753</v>
      </c>
      <c r="K17" s="73">
        <f>L17+M17+N17+O17+P17+Q17+R17+S17-H17</f>
        <v>3705406.6899999995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1"/>
    </row>
    <row r="18" spans="1:25" ht="18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</f>
        <v>3364713.4400000004</v>
      </c>
      <c r="I18" s="47">
        <f>H18/D18*100</f>
        <v>74.54776647834277</v>
      </c>
      <c r="J18" s="91"/>
      <c r="K18" s="63"/>
      <c r="Y18" s="71"/>
    </row>
    <row r="19" spans="1:25" ht="18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  <c r="I19" s="47">
        <f>H19/D19*100</f>
        <v>47.38830993317816</v>
      </c>
      <c r="J19" s="91"/>
      <c r="K19" s="63"/>
      <c r="Y19" s="71"/>
    </row>
    <row r="20" spans="1:25" ht="18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</f>
        <v>64447.4</v>
      </c>
      <c r="I20" s="47"/>
      <c r="J20" s="91"/>
      <c r="K20" s="63"/>
      <c r="Y20" s="71"/>
    </row>
    <row r="21" spans="1:25" ht="36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</f>
        <v>888855.9000000001</v>
      </c>
      <c r="I21" s="47">
        <f t="shared" si="3"/>
        <v>86.37216013992811</v>
      </c>
      <c r="J21" s="91"/>
      <c r="K21" s="63"/>
      <c r="Y21" s="71"/>
    </row>
    <row r="22" spans="1:25" ht="18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</f>
        <v>143903</v>
      </c>
      <c r="I22" s="47"/>
      <c r="J22" s="91"/>
      <c r="K22" s="63"/>
      <c r="Y22" s="71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1"/>
      <c r="K23" s="63"/>
      <c r="Y23" s="71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2"/>
      <c r="K24" s="63"/>
      <c r="Y24" s="71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61547120.52</v>
      </c>
      <c r="I25" s="45">
        <f>H25/D25*100</f>
        <v>57.41662544292819</v>
      </c>
      <c r="J25" s="70">
        <f>H25/(L25+M25+N25+O25+P25+Q25+R25+S25)*100</f>
        <v>75.98126389920353</v>
      </c>
      <c r="K25" s="52">
        <f>L25+M25+N25+O25+P25+Q25+R25+S25-H25</f>
        <v>19455902.279999994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5458318.25</v>
      </c>
      <c r="U25" s="62">
        <f t="shared" si="5"/>
        <v>9006629.57</v>
      </c>
      <c r="V25" s="62">
        <f t="shared" si="5"/>
        <v>4477591.18</v>
      </c>
      <c r="W25" s="62">
        <f t="shared" si="5"/>
        <v>7248339</v>
      </c>
      <c r="X25" s="62">
        <f t="shared" si="5"/>
        <v>107193900.8</v>
      </c>
      <c r="Y25" s="71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9">
        <f aca="true" t="shared" si="7" ref="J26:J89">H26/(L26+M26+N26+O26+P26+Q26+R26+S26)*100</f>
        <v>40.476190476190474</v>
      </c>
      <c r="K26" s="52">
        <f aca="true" t="shared" si="8" ref="K26:K89">L26+M26+N26+O26+P26+Q26+R26+S26-H26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6">
        <f>SUM(L26:W26)</f>
        <v>420000</v>
      </c>
      <c r="Y26" s="77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9" ref="D27:D42">F27</f>
        <v>40000</v>
      </c>
      <c r="E27" s="30"/>
      <c r="F27" s="32">
        <f aca="true" t="shared" si="10" ref="F27:F42">G27</f>
        <v>40000</v>
      </c>
      <c r="G27" s="32">
        <f>590000-550000</f>
        <v>40000</v>
      </c>
      <c r="H27" s="25"/>
      <c r="I27" s="45"/>
      <c r="J27" s="69">
        <f t="shared" si="7"/>
        <v>0</v>
      </c>
      <c r="K27" s="52">
        <f t="shared" si="8"/>
        <v>40000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6">
        <f aca="true" t="shared" si="11" ref="X27:X45">SUM(L27:W27)</f>
        <v>40000</v>
      </c>
      <c r="Y27" s="77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9"/>
        <v>378000</v>
      </c>
      <c r="E28" s="30"/>
      <c r="F28" s="32">
        <f t="shared" si="10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9">
        <f t="shared" si="7"/>
        <v>99.9891111111111</v>
      </c>
      <c r="K28" s="52">
        <f t="shared" si="8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6">
        <f t="shared" si="11"/>
        <v>378000</v>
      </c>
      <c r="Y28" s="77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9"/>
        <v>360000</v>
      </c>
      <c r="E29" s="30"/>
      <c r="F29" s="32">
        <f t="shared" si="10"/>
        <v>360000</v>
      </c>
      <c r="G29" s="32">
        <f>320000+40000</f>
        <v>360000</v>
      </c>
      <c r="H29" s="25">
        <f>20000+15000+230000+75265.57</f>
        <v>340265.57</v>
      </c>
      <c r="I29" s="46">
        <f>H29/D29*100</f>
        <v>94.5182138888889</v>
      </c>
      <c r="J29" s="69">
        <f t="shared" si="7"/>
        <v>94.5182138888889</v>
      </c>
      <c r="K29" s="52">
        <f t="shared" si="8"/>
        <v>19734.429999999993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6">
        <f t="shared" si="11"/>
        <v>360000</v>
      </c>
      <c r="Y29" s="77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9"/>
        <v>402000</v>
      </c>
      <c r="E30" s="30"/>
      <c r="F30" s="32">
        <f t="shared" si="10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9">
        <f t="shared" si="7"/>
        <v>45.27363184079602</v>
      </c>
      <c r="K30" s="52">
        <f t="shared" si="8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6">
        <f t="shared" si="11"/>
        <v>402000</v>
      </c>
      <c r="Y30" s="77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9"/>
        <v>700000</v>
      </c>
      <c r="E31" s="30"/>
      <c r="F31" s="32">
        <f t="shared" si="10"/>
        <v>700000</v>
      </c>
      <c r="G31" s="32">
        <f>700000</f>
        <v>700000</v>
      </c>
      <c r="H31" s="25"/>
      <c r="I31" s="46"/>
      <c r="J31" s="69">
        <f t="shared" si="7"/>
        <v>0</v>
      </c>
      <c r="K31" s="52">
        <f t="shared" si="8"/>
        <v>700000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6">
        <f t="shared" si="11"/>
        <v>700000</v>
      </c>
      <c r="Y31" s="77">
        <f t="shared" si="6"/>
        <v>0</v>
      </c>
    </row>
    <row r="32" spans="1:25" s="4" customFormat="1" ht="24" customHeight="1">
      <c r="A32" s="1"/>
      <c r="B32" s="5"/>
      <c r="C32" s="81" t="s">
        <v>117</v>
      </c>
      <c r="D32" s="32">
        <f t="shared" si="9"/>
        <v>541000</v>
      </c>
      <c r="E32" s="30"/>
      <c r="F32" s="32">
        <f t="shared" si="10"/>
        <v>541000</v>
      </c>
      <c r="G32" s="32">
        <f>291000+250000</f>
        <v>541000</v>
      </c>
      <c r="H32" s="25"/>
      <c r="I32" s="45"/>
      <c r="J32" s="69">
        <f t="shared" si="7"/>
        <v>0</v>
      </c>
      <c r="K32" s="52">
        <f t="shared" si="8"/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6">
        <f t="shared" si="11"/>
        <v>541000</v>
      </c>
      <c r="Y32" s="77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9"/>
        <v>1050000</v>
      </c>
      <c r="E33" s="30"/>
      <c r="F33" s="32">
        <f t="shared" si="10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9">
        <f t="shared" si="7"/>
        <v>55.75922989892236</v>
      </c>
      <c r="K33" s="52">
        <f t="shared" si="8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6">
        <f>SUM(L33:W33)</f>
        <v>1050000</v>
      </c>
      <c r="Y33" s="77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9"/>
        <v>7000000</v>
      </c>
      <c r="E34" s="30"/>
      <c r="F34" s="32">
        <f t="shared" si="10"/>
        <v>7000000</v>
      </c>
      <c r="G34" s="32">
        <v>7000000</v>
      </c>
      <c r="H34" s="25">
        <f>146000+118000</f>
        <v>264000</v>
      </c>
      <c r="I34" s="46">
        <f>H34/D34*100</f>
        <v>3.7714285714285714</v>
      </c>
      <c r="J34" s="69">
        <f t="shared" si="7"/>
        <v>6</v>
      </c>
      <c r="K34" s="52">
        <f t="shared" si="8"/>
        <v>4136000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v>100000</v>
      </c>
      <c r="U34" s="43">
        <v>2500000</v>
      </c>
      <c r="V34" s="43"/>
      <c r="W34" s="43"/>
      <c r="X34" s="76">
        <f t="shared" si="11"/>
        <v>7000000</v>
      </c>
      <c r="Y34" s="77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9"/>
        <v>23000000</v>
      </c>
      <c r="E35" s="30"/>
      <c r="F35" s="32">
        <f t="shared" si="10"/>
        <v>23000000</v>
      </c>
      <c r="G35" s="32">
        <v>23000000</v>
      </c>
      <c r="H35" s="25">
        <f>250000+350000+11000000+385798</f>
        <v>11985798</v>
      </c>
      <c r="I35" s="46">
        <f aca="true" t="shared" si="12" ref="I35:I41">H35/D35*100</f>
        <v>52.11216521739131</v>
      </c>
      <c r="J35" s="69">
        <f t="shared" si="7"/>
        <v>95.886384</v>
      </c>
      <c r="K35" s="52">
        <f t="shared" si="8"/>
        <v>514202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v>820000</v>
      </c>
      <c r="T35" s="43"/>
      <c r="U35" s="43">
        <f>152379.64+3774249.93</f>
        <v>3926629.5700000003</v>
      </c>
      <c r="V35" s="43">
        <v>3073370.4299999997</v>
      </c>
      <c r="W35" s="43">
        <v>3500000</v>
      </c>
      <c r="X35" s="76">
        <f t="shared" si="11"/>
        <v>23000000</v>
      </c>
      <c r="Y35" s="77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9"/>
        <v>1466600</v>
      </c>
      <c r="E36" s="30"/>
      <c r="F36" s="32">
        <f t="shared" si="10"/>
        <v>1466600</v>
      </c>
      <c r="G36" s="32">
        <f>1281600+185000</f>
        <v>1466600</v>
      </c>
      <c r="H36" s="25">
        <f>80000+35000</f>
        <v>115000</v>
      </c>
      <c r="I36" s="46">
        <f t="shared" si="12"/>
        <v>7.8412655120687305</v>
      </c>
      <c r="J36" s="69">
        <f t="shared" si="7"/>
        <v>8.835279655808236</v>
      </c>
      <c r="K36" s="52">
        <f t="shared" si="8"/>
        <v>1186600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6">
        <f t="shared" si="11"/>
        <v>1466600</v>
      </c>
      <c r="Y36" s="77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9"/>
        <v>49273597</v>
      </c>
      <c r="E37" s="30"/>
      <c r="F37" s="32">
        <f t="shared" si="10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</f>
        <v>31790910.360000003</v>
      </c>
      <c r="I37" s="46">
        <f t="shared" si="12"/>
        <v>64.51915893211532</v>
      </c>
      <c r="J37" s="69">
        <f t="shared" si="7"/>
        <v>83.91415281599282</v>
      </c>
      <c r="K37" s="52">
        <f t="shared" si="8"/>
        <v>6094129.639999997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</f>
        <v>17118767</v>
      </c>
      <c r="T37" s="43">
        <f>1073488.25-1073488.25+4888557</f>
        <v>4888557</v>
      </c>
      <c r="U37" s="43">
        <f>701511.75-701511.75+2500000</f>
        <v>2500000</v>
      </c>
      <c r="V37" s="43">
        <f>130000-130000+1000000</f>
        <v>1000000</v>
      </c>
      <c r="W37" s="43">
        <f>3000000</f>
        <v>3000000</v>
      </c>
      <c r="X37" s="76">
        <f t="shared" si="11"/>
        <v>49273597</v>
      </c>
      <c r="Y37" s="77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9"/>
        <v>5000000</v>
      </c>
      <c r="E38" s="30"/>
      <c r="F38" s="32">
        <f t="shared" si="10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9">
        <f t="shared" si="7"/>
        <v>79.38</v>
      </c>
      <c r="K38" s="52">
        <f t="shared" si="8"/>
        <v>927900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/>
      <c r="U38" s="43"/>
      <c r="V38" s="43"/>
      <c r="W38" s="43">
        <f>500000</f>
        <v>500000</v>
      </c>
      <c r="X38" s="76">
        <f t="shared" si="11"/>
        <v>5000000</v>
      </c>
      <c r="Y38" s="77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9"/>
        <v>6380000</v>
      </c>
      <c r="E39" s="30"/>
      <c r="F39" s="32">
        <f t="shared" si="10"/>
        <v>6380000</v>
      </c>
      <c r="G39" s="32">
        <f>5000000+1380000</f>
        <v>6380000</v>
      </c>
      <c r="H39" s="25">
        <f>173000+900000+31000+900000+32000+1100000+32000+500000+21466.9+43601.11+16760.29+377319.01</f>
        <v>4127147.3099999996</v>
      </c>
      <c r="I39" s="46">
        <f t="shared" si="12"/>
        <v>64.68882931034481</v>
      </c>
      <c r="J39" s="69">
        <f t="shared" si="7"/>
        <v>68.7857885</v>
      </c>
      <c r="K39" s="52">
        <f t="shared" si="8"/>
        <v>1872852.6900000004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6">
        <f t="shared" si="11"/>
        <v>6380000</v>
      </c>
      <c r="Y39" s="77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9"/>
        <v>1391000</v>
      </c>
      <c r="E40" s="30"/>
      <c r="F40" s="32">
        <f t="shared" si="10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2"/>
        <v>99.5836002875629</v>
      </c>
      <c r="J40" s="69">
        <f t="shared" si="7"/>
        <v>99.5836002875629</v>
      </c>
      <c r="K40" s="52">
        <f t="shared" si="8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6">
        <f t="shared" si="11"/>
        <v>1391000</v>
      </c>
      <c r="Y40" s="77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9"/>
        <v>1600000</v>
      </c>
      <c r="E41" s="30"/>
      <c r="F41" s="32">
        <f t="shared" si="10"/>
        <v>1600000</v>
      </c>
      <c r="G41" s="32">
        <f>1750000-150000</f>
        <v>1600000</v>
      </c>
      <c r="H41" s="25">
        <f>38000+1037000+39019.23</f>
        <v>1114019.23</v>
      </c>
      <c r="I41" s="46">
        <f t="shared" si="12"/>
        <v>69.62620187499999</v>
      </c>
      <c r="J41" s="69">
        <f t="shared" si="7"/>
        <v>69.62620187499999</v>
      </c>
      <c r="K41" s="52">
        <f t="shared" si="8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6">
        <f t="shared" si="11"/>
        <v>1600000</v>
      </c>
      <c r="Y41" s="77">
        <f t="shared" si="6"/>
        <v>0</v>
      </c>
    </row>
    <row r="42" spans="1:25" s="4" customFormat="1" ht="18">
      <c r="A42" s="1"/>
      <c r="B42" s="5"/>
      <c r="C42" s="54" t="s">
        <v>109</v>
      </c>
      <c r="D42" s="32">
        <f t="shared" si="9"/>
        <v>89760</v>
      </c>
      <c r="E42" s="30"/>
      <c r="F42" s="32">
        <f t="shared" si="10"/>
        <v>89760</v>
      </c>
      <c r="G42" s="32">
        <v>89760</v>
      </c>
      <c r="H42" s="25"/>
      <c r="I42" s="46"/>
      <c r="J42" s="69"/>
      <c r="K42" s="52">
        <f t="shared" si="8"/>
        <v>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6">
        <f t="shared" si="11"/>
        <v>89760</v>
      </c>
      <c r="Y42" s="77">
        <f t="shared" si="6"/>
        <v>0</v>
      </c>
    </row>
    <row r="43" spans="1:25" s="4" customFormat="1" ht="24" customHeight="1">
      <c r="A43" s="1"/>
      <c r="B43" s="5"/>
      <c r="C43" s="78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9">
        <f t="shared" si="7"/>
        <v>68.85703285714285</v>
      </c>
      <c r="K43" s="52">
        <f t="shared" si="8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6">
        <f t="shared" si="11"/>
        <v>7700000</v>
      </c>
      <c r="Y43" s="77">
        <f t="shared" si="6"/>
        <v>0</v>
      </c>
    </row>
    <row r="44" spans="1:25" s="4" customFormat="1" ht="22.5" customHeight="1">
      <c r="A44" s="1"/>
      <c r="B44" s="5"/>
      <c r="C44" s="78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  <c r="I44" s="46">
        <f>H44/D44*100</f>
        <v>80.63737093067134</v>
      </c>
      <c r="J44" s="69">
        <f t="shared" si="7"/>
        <v>100</v>
      </c>
      <c r="K44" s="52">
        <f t="shared" si="8"/>
        <v>0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6">
        <f>SUM(L44:W44)</f>
        <v>145755</v>
      </c>
      <c r="Y44" s="77">
        <f t="shared" si="6"/>
        <v>0</v>
      </c>
    </row>
    <row r="45" spans="1:25" s="4" customFormat="1" ht="22.5" customHeight="1">
      <c r="A45" s="1"/>
      <c r="B45" s="79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9">
        <f t="shared" si="7"/>
        <v>100.00000000000016</v>
      </c>
      <c r="K45" s="52">
        <f t="shared" si="8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6">
        <f t="shared" si="11"/>
        <v>256188.79999999958</v>
      </c>
      <c r="Y45" s="77">
        <f t="shared" si="6"/>
        <v>2.3283064365386963E-10</v>
      </c>
    </row>
    <row r="46" spans="1:25" s="16" customFormat="1" ht="24" customHeight="1">
      <c r="A46" s="84" t="s">
        <v>29</v>
      </c>
      <c r="B46" s="85"/>
      <c r="C46" s="85"/>
      <c r="D46" s="85"/>
      <c r="E46" s="85"/>
      <c r="F46" s="85"/>
      <c r="G46" s="85"/>
      <c r="H46" s="85"/>
      <c r="I46" s="85"/>
      <c r="J46" s="70"/>
      <c r="K46" s="52"/>
      <c r="X46" s="66"/>
      <c r="Y46" s="71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43419521.88</v>
      </c>
      <c r="I47" s="65">
        <f>H47/D47*100</f>
        <v>45.489136482659646</v>
      </c>
      <c r="J47" s="70"/>
      <c r="K47" s="52"/>
      <c r="X47" s="66"/>
      <c r="Y47" s="71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43419521.88</v>
      </c>
      <c r="I48" s="48">
        <f>H48/D48*100</f>
        <v>45.489136482659646</v>
      </c>
      <c r="J48" s="70">
        <f t="shared" si="7"/>
        <v>76.53209674805683</v>
      </c>
      <c r="K48" s="52">
        <f t="shared" si="8"/>
        <v>13314219.549999997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18525870.259999998</v>
      </c>
      <c r="T48" s="61">
        <f t="shared" si="13"/>
        <v>9594282.61</v>
      </c>
      <c r="U48" s="61">
        <f t="shared" si="13"/>
        <v>16160445.11</v>
      </c>
      <c r="V48" s="61">
        <f t="shared" si="13"/>
        <v>9932725.219999999</v>
      </c>
      <c r="W48" s="61">
        <f>SUM(W49:W100)</f>
        <v>3029115.83</v>
      </c>
      <c r="X48" s="61">
        <f t="shared" si="13"/>
        <v>95450310.2</v>
      </c>
      <c r="Y48" s="71">
        <f>D48-X48</f>
        <v>0</v>
      </c>
    </row>
    <row r="49" spans="1:25" s="80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</f>
        <v>497282.3</v>
      </c>
      <c r="I49" s="46">
        <f>H49/D49*100</f>
        <v>64.75029947916666</v>
      </c>
      <c r="J49" s="69">
        <f t="shared" si="7"/>
        <v>99.96963412284279</v>
      </c>
      <c r="K49" s="52">
        <f t="shared" si="8"/>
        <v>151.04999999998836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4173</v>
      </c>
      <c r="T49" s="59"/>
      <c r="U49" s="59"/>
      <c r="V49" s="59"/>
      <c r="W49" s="59">
        <f>360739.65-86000-4173</f>
        <v>270566.65</v>
      </c>
      <c r="X49" s="59">
        <f>SUM(L49:W49)</f>
        <v>768000</v>
      </c>
      <c r="Y49" s="71">
        <f aca="true" t="shared" si="16" ref="Y49:Y103">D49-X49</f>
        <v>0</v>
      </c>
    </row>
    <row r="50" spans="1:25" s="80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9">
        <f t="shared" si="7"/>
        <v>0</v>
      </c>
      <c r="K50" s="52">
        <f t="shared" si="8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1">
        <f t="shared" si="16"/>
        <v>0</v>
      </c>
    </row>
    <row r="51" spans="1:25" s="80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9"/>
      <c r="K51" s="52">
        <f t="shared" si="8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1">
        <f t="shared" si="16"/>
        <v>0</v>
      </c>
    </row>
    <row r="52" spans="1:25" s="80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9">
        <f t="shared" si="7"/>
        <v>0</v>
      </c>
      <c r="K52" s="52">
        <f t="shared" si="8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1">
        <f t="shared" si="16"/>
        <v>0</v>
      </c>
    </row>
    <row r="53" spans="1:25" s="80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9">
        <f t="shared" si="7"/>
        <v>0</v>
      </c>
      <c r="K53" s="52">
        <f t="shared" si="8"/>
        <v>570000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570000</v>
      </c>
      <c r="T53" s="60"/>
      <c r="U53" s="60"/>
      <c r="V53" s="60"/>
      <c r="W53" s="60">
        <f>30000</f>
        <v>30000</v>
      </c>
      <c r="X53" s="59">
        <f t="shared" si="17"/>
        <v>600000</v>
      </c>
      <c r="Y53" s="71">
        <f t="shared" si="16"/>
        <v>0</v>
      </c>
    </row>
    <row r="54" spans="1:25" s="80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386615.55+36306</f>
        <v>422921.55</v>
      </c>
      <c r="I54" s="46">
        <f>H54/D54*100</f>
        <v>38.447413636363635</v>
      </c>
      <c r="J54" s="69">
        <f t="shared" si="7"/>
        <v>45.61752376968236</v>
      </c>
      <c r="K54" s="52">
        <f t="shared" si="8"/>
        <v>504181.71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1">
        <f t="shared" si="16"/>
        <v>0</v>
      </c>
    </row>
    <row r="55" spans="1:25" s="80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9"/>
      <c r="K55" s="52">
        <f t="shared" si="8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1">
        <f t="shared" si="16"/>
        <v>0</v>
      </c>
    </row>
    <row r="56" spans="1:25" s="80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9">
        <f t="shared" si="7"/>
        <v>98.95684237288135</v>
      </c>
      <c r="K56" s="52">
        <f t="shared" si="8"/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1">
        <f t="shared" si="16"/>
        <v>0</v>
      </c>
    </row>
    <row r="57" spans="1:25" s="80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9" t="e">
        <f t="shared" si="7"/>
        <v>#DIV/0!</v>
      </c>
      <c r="K57" s="52">
        <f t="shared" si="8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1">
        <f t="shared" si="16"/>
        <v>0</v>
      </c>
    </row>
    <row r="58" spans="1:25" s="80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9"/>
      <c r="K58" s="52">
        <f t="shared" si="8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1">
        <f t="shared" si="16"/>
        <v>0</v>
      </c>
    </row>
    <row r="59" spans="1:25" s="80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9">
        <f t="shared" si="7"/>
        <v>0</v>
      </c>
      <c r="K59" s="52">
        <f t="shared" si="8"/>
        <v>64400</v>
      </c>
      <c r="L59" s="59"/>
      <c r="M59" s="59"/>
      <c r="N59" s="59"/>
      <c r="O59" s="59"/>
      <c r="P59" s="59"/>
      <c r="Q59" s="59"/>
      <c r="R59" s="59"/>
      <c r="S59" s="59">
        <v>64400</v>
      </c>
      <c r="T59" s="59">
        <v>64400</v>
      </c>
      <c r="U59" s="59"/>
      <c r="V59" s="59"/>
      <c r="W59" s="59"/>
      <c r="X59" s="59">
        <f t="shared" si="17"/>
        <v>128800</v>
      </c>
      <c r="Y59" s="71">
        <f t="shared" si="16"/>
        <v>0</v>
      </c>
    </row>
    <row r="60" spans="1:25" s="80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9">
        <f t="shared" si="7"/>
        <v>0</v>
      </c>
      <c r="K60" s="52">
        <f t="shared" si="8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1">
        <f t="shared" si="16"/>
        <v>0</v>
      </c>
    </row>
    <row r="61" spans="1:25" s="80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9">
        <f t="shared" si="7"/>
        <v>30</v>
      </c>
      <c r="K61" s="52">
        <f t="shared" si="8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1">
        <f t="shared" si="16"/>
        <v>0</v>
      </c>
    </row>
    <row r="62" spans="1:25" s="80" customFormat="1" ht="23.25" customHeight="1">
      <c r="A62" s="1"/>
      <c r="B62" s="29"/>
      <c r="C62" s="81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9">
        <f t="shared" si="7"/>
        <v>0</v>
      </c>
      <c r="K62" s="52">
        <f t="shared" si="8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1">
        <f t="shared" si="16"/>
        <v>0</v>
      </c>
    </row>
    <row r="63" spans="1:25" s="80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9"/>
      <c r="K63" s="52">
        <f t="shared" si="8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1">
        <f t="shared" si="16"/>
        <v>0</v>
      </c>
    </row>
    <row r="64" spans="1:25" s="80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9">
        <f t="shared" si="7"/>
        <v>0</v>
      </c>
      <c r="K64" s="52">
        <f t="shared" si="8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1">
        <f t="shared" si="16"/>
        <v>0</v>
      </c>
    </row>
    <row r="65" spans="1:25" s="80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9">
        <f t="shared" si="7"/>
        <v>0</v>
      </c>
      <c r="K65" s="52">
        <f t="shared" si="8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1">
        <f t="shared" si="16"/>
        <v>0</v>
      </c>
    </row>
    <row r="66" spans="1:25" s="80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9">
        <f t="shared" si="7"/>
        <v>0</v>
      </c>
      <c r="K66" s="52">
        <f t="shared" si="8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1">
        <f t="shared" si="16"/>
        <v>0</v>
      </c>
    </row>
    <row r="67" spans="1:25" s="80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9">
        <f t="shared" si="7"/>
        <v>30</v>
      </c>
      <c r="K67" s="52">
        <f t="shared" si="8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1">
        <f t="shared" si="16"/>
        <v>0</v>
      </c>
    </row>
    <row r="68" spans="1:25" s="80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9">
        <f t="shared" si="7"/>
        <v>0</v>
      </c>
      <c r="K68" s="52">
        <f t="shared" si="8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1">
        <f t="shared" si="16"/>
        <v>0</v>
      </c>
    </row>
    <row r="69" spans="1:25" s="80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9">
        <f t="shared" si="7"/>
        <v>100</v>
      </c>
      <c r="K69" s="52">
        <f t="shared" si="8"/>
        <v>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1">
        <f t="shared" si="16"/>
        <v>0</v>
      </c>
    </row>
    <row r="70" spans="1:25" s="80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9">
        <f t="shared" si="7"/>
        <v>30</v>
      </c>
      <c r="K70" s="52">
        <f t="shared" si="8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1">
        <f t="shared" si="16"/>
        <v>0</v>
      </c>
    </row>
    <row r="71" spans="1:25" s="80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9">
        <f t="shared" si="7"/>
        <v>53.587217662346944</v>
      </c>
      <c r="K71" s="52">
        <f t="shared" si="8"/>
        <v>51967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1">
        <f t="shared" si="16"/>
        <v>0</v>
      </c>
    </row>
    <row r="72" spans="1:25" s="80" customFormat="1" ht="24.7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9"/>
      <c r="K72" s="52">
        <f t="shared" si="8"/>
        <v>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1">
        <f t="shared" si="16"/>
        <v>0</v>
      </c>
    </row>
    <row r="73" spans="1:25" s="80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9"/>
      <c r="K73" s="52">
        <f t="shared" si="8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1">
        <f t="shared" si="16"/>
        <v>0</v>
      </c>
    </row>
    <row r="74" spans="1:25" s="80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9"/>
      <c r="K74" s="52">
        <f t="shared" si="8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1">
        <f t="shared" si="16"/>
        <v>0</v>
      </c>
    </row>
    <row r="75" spans="1:25" s="80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9"/>
      <c r="K75" s="52">
        <f t="shared" si="8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1">
        <f t="shared" si="16"/>
        <v>0</v>
      </c>
    </row>
    <row r="76" spans="1:25" s="80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9">
        <f t="shared" si="7"/>
        <v>99.7185549165603</v>
      </c>
      <c r="K76" s="52">
        <f t="shared" si="8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1">
        <f t="shared" si="16"/>
        <v>0</v>
      </c>
    </row>
    <row r="77" spans="1:25" s="80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9">
        <f t="shared" si="7"/>
        <v>76.18160385496205</v>
      </c>
      <c r="K77" s="52">
        <f t="shared" si="8"/>
        <v>462507.76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1">
        <f t="shared" si="16"/>
        <v>0</v>
      </c>
    </row>
    <row r="78" spans="1:25" s="80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9">
        <f t="shared" si="7"/>
        <v>86.89395421669501</v>
      </c>
      <c r="K78" s="52">
        <f t="shared" si="8"/>
        <v>514568.39000000013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7"/>
        <v>3926191</v>
      </c>
      <c r="Y78" s="71">
        <f t="shared" si="16"/>
        <v>0</v>
      </c>
    </row>
    <row r="79" spans="1:25" s="80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9">
        <f t="shared" si="7"/>
        <v>42.981714569273514</v>
      </c>
      <c r="K79" s="52">
        <f t="shared" si="8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1">
        <f t="shared" si="16"/>
        <v>0</v>
      </c>
    </row>
    <row r="80" spans="1:25" s="80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9">
        <f t="shared" si="7"/>
        <v>5.931969523809523</v>
      </c>
      <c r="K80" s="52">
        <f t="shared" si="8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1">
        <f t="shared" si="16"/>
        <v>0</v>
      </c>
    </row>
    <row r="81" spans="1:25" s="80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9">
        <f t="shared" si="7"/>
        <v>0</v>
      </c>
      <c r="K81" s="52">
        <f t="shared" si="8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1">
        <f t="shared" si="16"/>
        <v>0</v>
      </c>
    </row>
    <row r="82" spans="1:25" s="80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9"/>
      <c r="K82" s="52">
        <f t="shared" si="8"/>
        <v>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1">
        <f t="shared" si="16"/>
        <v>0</v>
      </c>
    </row>
    <row r="83" spans="1:25" s="80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9"/>
      <c r="K83" s="52">
        <f t="shared" si="8"/>
        <v>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1">
        <f t="shared" si="16"/>
        <v>0</v>
      </c>
    </row>
    <row r="84" spans="1:25" s="80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9">
        <f t="shared" si="7"/>
        <v>0</v>
      </c>
      <c r="K84" s="52">
        <f t="shared" si="8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1">
        <f t="shared" si="16"/>
        <v>0</v>
      </c>
    </row>
    <row r="85" spans="1:25" s="80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9">
        <f t="shared" si="7"/>
        <v>91.63987138263666</v>
      </c>
      <c r="K85" s="52">
        <f t="shared" si="8"/>
        <v>520000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7"/>
        <v>11600000</v>
      </c>
      <c r="Y85" s="71">
        <f t="shared" si="16"/>
        <v>0</v>
      </c>
    </row>
    <row r="86" spans="1:25" s="80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9">
        <f t="shared" si="7"/>
        <v>82.10184325215685</v>
      </c>
      <c r="K86" s="52">
        <f t="shared" si="8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1">
        <f t="shared" si="16"/>
        <v>0</v>
      </c>
    </row>
    <row r="87" spans="1:25" s="80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9">
        <f t="shared" si="7"/>
        <v>44.439665354330714</v>
      </c>
      <c r="K87" s="52">
        <f t="shared" si="8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1">
        <f t="shared" si="16"/>
        <v>0</v>
      </c>
    </row>
    <row r="88" spans="1:25" s="80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13429+7850000+306023.62+885285.6+1757858.8+137329.67+2000000+3430424.4+44980.76+1526696.4+20069.81+1128035.73</f>
        <v>19100133.79</v>
      </c>
      <c r="I88" s="46">
        <f>H88/D88*100</f>
        <v>95.50066895</v>
      </c>
      <c r="J88" s="69">
        <f t="shared" si="7"/>
        <v>99.5296283037352</v>
      </c>
      <c r="K88" s="52">
        <f>L88+M88+N88+O88+P88+Q88+R88+S88-H88</f>
        <v>90266.2100000009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f>2000000+2000000+3402400+1600000+1100000</f>
        <v>10102400</v>
      </c>
      <c r="T88" s="60">
        <f>1731585.76-912200-170000+1000000-1600000</f>
        <v>49385.76000000001</v>
      </c>
      <c r="U88" s="60">
        <f>3000000-900000-2000000+2000000-2000000</f>
        <v>100000</v>
      </c>
      <c r="V88" s="60">
        <f>3741261.78+1000000-3402400-1100000</f>
        <v>238861.77999999933</v>
      </c>
      <c r="W88" s="60">
        <f>3421352.46-3000000</f>
        <v>421352.45999999996</v>
      </c>
      <c r="X88" s="59">
        <f t="shared" si="17"/>
        <v>20000000</v>
      </c>
      <c r="Y88" s="71">
        <f t="shared" si="16"/>
        <v>0</v>
      </c>
    </row>
    <row r="89" spans="1:25" s="80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9">
        <f t="shared" si="7"/>
        <v>0</v>
      </c>
      <c r="K89" s="52">
        <f t="shared" si="8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1">
        <f t="shared" si="16"/>
        <v>0</v>
      </c>
    </row>
    <row r="90" spans="1:25" s="80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9">
        <f aca="true" t="shared" si="18" ref="J90:J101">H90/(L90+M90+N90+O90+P90+Q90+R90+S90)*100</f>
        <v>0</v>
      </c>
      <c r="K90" s="52">
        <f aca="true" t="shared" si="19" ref="K90:K101">L90+M90+N90+O90+P90+Q90+R90+S90-H90</f>
        <v>200000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7"/>
        <v>400000</v>
      </c>
      <c r="Y90" s="71">
        <f t="shared" si="16"/>
        <v>0</v>
      </c>
    </row>
    <row r="91" spans="1:25" s="80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9">
        <f t="shared" si="18"/>
        <v>0</v>
      </c>
      <c r="K91" s="52">
        <f t="shared" si="19"/>
        <v>71000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1">
        <f t="shared" si="16"/>
        <v>0</v>
      </c>
    </row>
    <row r="92" spans="1:25" s="80" customFormat="1" ht="40.5" customHeight="1">
      <c r="A92" s="1"/>
      <c r="B92" s="29"/>
      <c r="C92" s="55" t="s">
        <v>92</v>
      </c>
      <c r="D92" s="32">
        <f aca="true" t="shared" si="20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9">
        <f t="shared" si="18"/>
        <v>0</v>
      </c>
      <c r="K92" s="52">
        <f t="shared" si="19"/>
        <v>2608146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f>6490000+235000-1000000-3000000-1400000-1100000</f>
        <v>225000</v>
      </c>
      <c r="T92" s="60">
        <f>470000+29854+1400000</f>
        <v>1899854</v>
      </c>
      <c r="U92" s="60">
        <f>1000000+507000+1000000-569000.8+3000000</f>
        <v>4937999.2</v>
      </c>
      <c r="V92" s="60">
        <f>1000000-1000000+1100000</f>
        <v>1100000</v>
      </c>
      <c r="W92" s="60">
        <f>855000+30000-885000</f>
        <v>0</v>
      </c>
      <c r="X92" s="59">
        <f t="shared" si="17"/>
        <v>10545999.2</v>
      </c>
      <c r="Y92" s="71">
        <f t="shared" si="16"/>
        <v>0</v>
      </c>
    </row>
    <row r="93" spans="1:25" s="80" customFormat="1" ht="40.5" customHeight="1">
      <c r="A93" s="1"/>
      <c r="B93" s="29"/>
      <c r="C93" s="55" t="s">
        <v>93</v>
      </c>
      <c r="D93" s="32">
        <f t="shared" si="20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9">
        <f t="shared" si="18"/>
        <v>28.54271929964681</v>
      </c>
      <c r="K93" s="52">
        <f t="shared" si="19"/>
        <v>1440009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/>
      <c r="T93" s="59">
        <v>669150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1">
        <f t="shared" si="16"/>
        <v>0</v>
      </c>
    </row>
    <row r="94" spans="1:25" s="80" customFormat="1" ht="40.5" customHeight="1">
      <c r="A94" s="1"/>
      <c r="B94" s="29"/>
      <c r="C94" s="55" t="s">
        <v>94</v>
      </c>
      <c r="D94" s="32">
        <f t="shared" si="20"/>
        <v>300000</v>
      </c>
      <c r="E94" s="6"/>
      <c r="F94" s="25">
        <f t="shared" si="15"/>
        <v>300000</v>
      </c>
      <c r="G94" s="32">
        <v>300000</v>
      </c>
      <c r="H94" s="25">
        <f>81000+29133</f>
        <v>110133</v>
      </c>
      <c r="I94" s="46">
        <f>H94/D94*100</f>
        <v>36.711</v>
      </c>
      <c r="J94" s="69">
        <f t="shared" si="18"/>
        <v>36.711</v>
      </c>
      <c r="K94" s="52">
        <f t="shared" si="19"/>
        <v>189867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1">
        <f t="shared" si="16"/>
        <v>0</v>
      </c>
    </row>
    <row r="95" spans="1:25" s="80" customFormat="1" ht="40.5" customHeight="1">
      <c r="A95" s="1"/>
      <c r="B95" s="29"/>
      <c r="C95" s="55" t="s">
        <v>95</v>
      </c>
      <c r="D95" s="32">
        <f t="shared" si="20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9">
        <f t="shared" si="18"/>
        <v>99.90636363636364</v>
      </c>
      <c r="K95" s="52">
        <f t="shared" si="19"/>
        <v>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1">
        <f t="shared" si="16"/>
        <v>0</v>
      </c>
    </row>
    <row r="96" spans="1:25" s="80" customFormat="1" ht="40.5" customHeight="1">
      <c r="A96" s="1"/>
      <c r="B96" s="29"/>
      <c r="C96" s="55" t="s">
        <v>96</v>
      </c>
      <c r="D96" s="32">
        <f t="shared" si="20"/>
        <v>538000</v>
      </c>
      <c r="E96" s="6"/>
      <c r="F96" s="25">
        <f t="shared" si="15"/>
        <v>538000</v>
      </c>
      <c r="G96" s="32">
        <v>538000</v>
      </c>
      <c r="H96" s="25">
        <v>139785.59</v>
      </c>
      <c r="I96" s="46">
        <f>H96/D96*100</f>
        <v>25.982451672862457</v>
      </c>
      <c r="J96" s="69">
        <f t="shared" si="18"/>
        <v>25.982451672862457</v>
      </c>
      <c r="K96" s="52">
        <f t="shared" si="19"/>
        <v>398214.41000000003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189000</v>
      </c>
      <c r="T96" s="59"/>
      <c r="U96" s="59"/>
      <c r="V96" s="59"/>
      <c r="W96" s="59"/>
      <c r="X96" s="59">
        <f t="shared" si="17"/>
        <v>538000</v>
      </c>
      <c r="Y96" s="71">
        <f t="shared" si="16"/>
        <v>0</v>
      </c>
    </row>
    <row r="97" spans="1:25" s="80" customFormat="1" ht="21" customHeight="1">
      <c r="A97" s="1"/>
      <c r="B97" s="29"/>
      <c r="C97" s="55" t="s">
        <v>97</v>
      </c>
      <c r="D97" s="32">
        <f t="shared" si="20"/>
        <v>5000</v>
      </c>
      <c r="E97" s="6"/>
      <c r="F97" s="25">
        <f t="shared" si="15"/>
        <v>5000</v>
      </c>
      <c r="G97" s="32">
        <v>5000</v>
      </c>
      <c r="H97" s="25"/>
      <c r="I97" s="46"/>
      <c r="J97" s="69">
        <f t="shared" si="18"/>
        <v>0</v>
      </c>
      <c r="K97" s="52">
        <f t="shared" si="19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1">
        <f t="shared" si="16"/>
        <v>0</v>
      </c>
    </row>
    <row r="98" spans="1:25" s="80" customFormat="1" ht="26.25" customHeight="1">
      <c r="A98" s="1"/>
      <c r="B98" s="29"/>
      <c r="C98" s="55" t="s">
        <v>98</v>
      </c>
      <c r="D98" s="32">
        <f t="shared" si="20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9"/>
      <c r="K98" s="52">
        <f t="shared" si="19"/>
        <v>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1">
        <f t="shared" si="16"/>
        <v>0</v>
      </c>
    </row>
    <row r="99" spans="1:25" s="80" customFormat="1" ht="22.5" customHeight="1">
      <c r="A99" s="1"/>
      <c r="B99" s="29"/>
      <c r="C99" s="56" t="s">
        <v>99</v>
      </c>
      <c r="D99" s="32">
        <f t="shared" si="20"/>
        <v>250000</v>
      </c>
      <c r="E99" s="6"/>
      <c r="F99" s="25">
        <f t="shared" si="15"/>
        <v>250000</v>
      </c>
      <c r="G99" s="32">
        <v>250000</v>
      </c>
      <c r="H99" s="25"/>
      <c r="I99" s="46"/>
      <c r="J99" s="69"/>
      <c r="K99" s="52">
        <f t="shared" si="19"/>
        <v>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1">
        <f t="shared" si="16"/>
        <v>0</v>
      </c>
    </row>
    <row r="100" spans="1:25" s="80" customFormat="1" ht="22.5" customHeight="1">
      <c r="A100" s="1"/>
      <c r="B100" s="29"/>
      <c r="C100" s="55" t="s">
        <v>100</v>
      </c>
      <c r="D100" s="32">
        <f t="shared" si="20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9"/>
      <c r="K100" s="52">
        <f t="shared" si="19"/>
        <v>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1">
        <f t="shared" si="16"/>
        <v>0</v>
      </c>
    </row>
    <row r="101" spans="1:25" ht="18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129804497.66</v>
      </c>
      <c r="I101" s="44">
        <f>H101/D101*100</f>
        <v>53.551704106785216</v>
      </c>
      <c r="J101" s="70">
        <f t="shared" si="18"/>
        <v>77.86598386210169</v>
      </c>
      <c r="K101" s="52">
        <f t="shared" si="19"/>
        <v>36897945.72</v>
      </c>
      <c r="L101" s="20">
        <f aca="true" t="shared" si="21" ref="L101:X101">L8+L25+L48</f>
        <v>112816</v>
      </c>
      <c r="M101" s="20">
        <f t="shared" si="21"/>
        <v>3716000</v>
      </c>
      <c r="N101" s="20">
        <f t="shared" si="21"/>
        <v>13054000</v>
      </c>
      <c r="O101" s="20">
        <f t="shared" si="21"/>
        <v>23627301.990000002</v>
      </c>
      <c r="P101" s="20">
        <f t="shared" si="21"/>
        <v>25067943.939999998</v>
      </c>
      <c r="Q101" s="20">
        <f t="shared" si="21"/>
        <v>23413655.38</v>
      </c>
      <c r="R101" s="20">
        <f t="shared" si="21"/>
        <v>31674418.01</v>
      </c>
      <c r="S101" s="20">
        <f t="shared" si="21"/>
        <v>46036308.06</v>
      </c>
      <c r="T101" s="20">
        <f t="shared" si="21"/>
        <v>17271941.64</v>
      </c>
      <c r="U101" s="20">
        <f t="shared" si="21"/>
        <v>26720518.68</v>
      </c>
      <c r="V101" s="20">
        <f t="shared" si="21"/>
        <v>16815602.509999998</v>
      </c>
      <c r="W101" s="20">
        <f t="shared" si="21"/>
        <v>14880468.69</v>
      </c>
      <c r="X101" s="20">
        <f t="shared" si="21"/>
        <v>242390974.89999998</v>
      </c>
      <c r="Y101" s="71">
        <f t="shared" si="16"/>
        <v>0</v>
      </c>
    </row>
    <row r="102" spans="1:25" ht="18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1">
        <f t="shared" si="16"/>
        <v>0</v>
      </c>
    </row>
    <row r="103" spans="1:25" ht="18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1">
        <f t="shared" si="16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0:J14"/>
    <mergeCell ref="J17:J24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2016-08-09T12:24:13Z</cp:lastPrinted>
  <dcterms:created xsi:type="dcterms:W3CDTF">2014-01-17T10:52:16Z</dcterms:created>
  <dcterms:modified xsi:type="dcterms:W3CDTF">2016-08-23T09:25:54Z</dcterms:modified>
  <cp:category/>
  <cp:version/>
  <cp:contentType/>
  <cp:contentStatus/>
</cp:coreProperties>
</file>